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820" yWindow="220" windowWidth="26760" windowHeight="21360" tabRatio="500" activeTab="2"/>
  </bookViews>
  <sheets>
    <sheet name="Data Isbilya" sheetId="6" r:id="rId1"/>
    <sheet name="Budget-Income" sheetId="2" r:id="rId2"/>
    <sheet name="Budget-Expenses  Isbilya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6" l="1"/>
  <c r="D44" i="6"/>
  <c r="B21" i="6"/>
  <c r="C43" i="5"/>
  <c r="D32" i="6"/>
  <c r="B4" i="2"/>
  <c r="B11" i="2"/>
  <c r="C4" i="2"/>
  <c r="B5" i="2"/>
  <c r="C5" i="2"/>
  <c r="B6" i="2"/>
  <c r="C6" i="2"/>
  <c r="B7" i="2"/>
  <c r="C7" i="2"/>
  <c r="B8" i="2"/>
  <c r="C8" i="2"/>
  <c r="B9" i="2"/>
  <c r="C9" i="2"/>
  <c r="C18" i="6"/>
  <c r="C10" i="2"/>
  <c r="B10" i="2"/>
  <c r="C19" i="6"/>
  <c r="C11" i="2"/>
  <c r="C12" i="2"/>
  <c r="D12" i="2"/>
  <c r="C14" i="2"/>
  <c r="C16" i="2"/>
  <c r="C21" i="2"/>
  <c r="D21" i="2"/>
  <c r="D18" i="2"/>
  <c r="D11" i="2"/>
  <c r="D10" i="2"/>
  <c r="D12" i="6"/>
  <c r="D5" i="2"/>
  <c r="D13" i="6"/>
  <c r="D6" i="2"/>
  <c r="D14" i="6"/>
  <c r="D7" i="2"/>
  <c r="D15" i="6"/>
  <c r="D8" i="2"/>
  <c r="D16" i="6"/>
  <c r="D9" i="2"/>
  <c r="D11" i="6"/>
  <c r="D4" i="2"/>
  <c r="B34" i="6"/>
  <c r="D34" i="6"/>
  <c r="C36" i="5"/>
  <c r="D35" i="6"/>
  <c r="C37" i="5"/>
  <c r="B36" i="6"/>
  <c r="D36" i="6"/>
  <c r="C38" i="5"/>
  <c r="D37" i="6"/>
  <c r="C39" i="5"/>
  <c r="C40" i="5"/>
  <c r="C29" i="5"/>
  <c r="C30" i="5"/>
  <c r="C31" i="5"/>
  <c r="B44" i="6"/>
  <c r="C32" i="5"/>
  <c r="C33" i="5"/>
  <c r="C22" i="5"/>
  <c r="B26" i="6"/>
  <c r="C23" i="5"/>
  <c r="C24" i="5"/>
  <c r="C26" i="5"/>
  <c r="C19" i="5"/>
  <c r="C20" i="5"/>
  <c r="C9" i="5"/>
  <c r="B46" i="6"/>
  <c r="C10" i="5"/>
  <c r="B31" i="6"/>
  <c r="C11" i="5"/>
  <c r="C15" i="5"/>
  <c r="C42" i="5"/>
  <c r="C44" i="5"/>
  <c r="C4" i="5"/>
  <c r="C5" i="5"/>
  <c r="C6" i="5"/>
  <c r="C46" i="5"/>
  <c r="C49" i="5"/>
  <c r="D49" i="5"/>
  <c r="D46" i="5"/>
  <c r="D44" i="5"/>
  <c r="D40" i="5"/>
  <c r="D33" i="5"/>
  <c r="D26" i="5"/>
  <c r="D20" i="5"/>
  <c r="D15" i="5"/>
  <c r="D6" i="5"/>
  <c r="C46" i="6"/>
  <c r="C45" i="6"/>
  <c r="C44" i="6"/>
  <c r="C43" i="6"/>
  <c r="C42" i="6"/>
  <c r="C41" i="6"/>
  <c r="C40" i="6"/>
  <c r="C39" i="6"/>
  <c r="C38" i="6"/>
  <c r="C33" i="6"/>
  <c r="C32" i="6"/>
  <c r="B32" i="6"/>
  <c r="C31" i="6"/>
  <c r="C30" i="6"/>
  <c r="C29" i="6"/>
  <c r="C28" i="6"/>
  <c r="C27" i="6"/>
  <c r="C26" i="6"/>
  <c r="C25" i="6"/>
  <c r="D17" i="6"/>
</calcChain>
</file>

<file path=xl/comments1.xml><?xml version="1.0" encoding="utf-8"?>
<comments xmlns="http://schemas.openxmlformats.org/spreadsheetml/2006/main">
  <authors>
    <author>Matilde Sanchez Fernandez</author>
  </authors>
  <commentList>
    <comment ref="A17" authorId="0">
      <text>
        <r>
          <rPr>
            <b/>
            <sz val="9"/>
            <color indexed="81"/>
            <rFont val="Calibri"/>
            <family val="2"/>
          </rPr>
          <t>Matilde Sanchez Fernandez:</t>
        </r>
        <r>
          <rPr>
            <sz val="9"/>
            <color indexed="81"/>
            <rFont val="Calibri"/>
            <family val="2"/>
          </rPr>
          <t xml:space="preserve">
4 plenary speakers, 3 tecnical chairs and 4 general chair</t>
        </r>
      </text>
    </comment>
  </commentList>
</comments>
</file>

<file path=xl/comments2.xml><?xml version="1.0" encoding="utf-8"?>
<comments xmlns="http://schemas.openxmlformats.org/spreadsheetml/2006/main">
  <authors>
    <author>Matilde Sanchez Fernandez</author>
  </authors>
  <commentList>
    <comment ref="B19" authorId="0">
      <text>
        <r>
          <rPr>
            <b/>
            <sz val="9"/>
            <color indexed="81"/>
            <rFont val="Calibri"/>
            <family val="2"/>
          </rPr>
          <t>Matilde Sanchez Fernandez:</t>
        </r>
        <r>
          <rPr>
            <sz val="9"/>
            <color indexed="81"/>
            <rFont val="Calibri"/>
            <family val="2"/>
          </rPr>
          <t xml:space="preserve">
Does not include the USB with the conference procedings</t>
        </r>
      </text>
    </comment>
  </commentList>
</comments>
</file>

<file path=xl/sharedStrings.xml><?xml version="1.0" encoding="utf-8"?>
<sst xmlns="http://schemas.openxmlformats.org/spreadsheetml/2006/main" count="100" uniqueCount="88">
  <si>
    <t>Subtotal:</t>
  </si>
  <si>
    <t>Wifi</t>
  </si>
  <si>
    <r>
      <t xml:space="preserve">Participants IEEE </t>
    </r>
    <r>
      <rPr>
        <sz val="12"/>
        <color rgb="FFFF0000"/>
        <rFont val="Calibri"/>
        <family val="2"/>
        <scheme val="minor"/>
      </rPr>
      <t>early</t>
    </r>
    <r>
      <rPr>
        <sz val="12"/>
        <color theme="1"/>
        <rFont val="Calibri"/>
        <family val="2"/>
        <scheme val="minor"/>
      </rPr>
      <t xml:space="preserve"> registration:</t>
    </r>
  </si>
  <si>
    <r>
      <t xml:space="preserve">Participants IEEE </t>
    </r>
    <r>
      <rPr>
        <sz val="12"/>
        <color rgb="FFFF0000"/>
        <rFont val="Calibri"/>
        <family val="2"/>
        <scheme val="minor"/>
      </rPr>
      <t>late</t>
    </r>
    <r>
      <rPr>
        <sz val="12"/>
        <color theme="1"/>
        <rFont val="Calibri"/>
        <family val="2"/>
        <scheme val="minor"/>
      </rPr>
      <t xml:space="preserve"> registration:</t>
    </r>
  </si>
  <si>
    <r>
      <t xml:space="preserve">Participants non-IEEE </t>
    </r>
    <r>
      <rPr>
        <sz val="12"/>
        <color rgb="FFFF0000"/>
        <rFont val="Calibri"/>
        <family val="2"/>
        <scheme val="minor"/>
      </rPr>
      <t>early</t>
    </r>
    <r>
      <rPr>
        <sz val="12"/>
        <color theme="1"/>
        <rFont val="Calibri"/>
        <family val="2"/>
        <scheme val="minor"/>
      </rPr>
      <t xml:space="preserve"> registration:</t>
    </r>
  </si>
  <si>
    <r>
      <t xml:space="preserve">Participants non-IEEE </t>
    </r>
    <r>
      <rPr>
        <sz val="12"/>
        <color rgb="FFFF0000"/>
        <rFont val="Calibri"/>
        <family val="2"/>
        <scheme val="minor"/>
      </rPr>
      <t>late</t>
    </r>
    <r>
      <rPr>
        <sz val="12"/>
        <color theme="1"/>
        <rFont val="Calibri"/>
        <family val="2"/>
        <scheme val="minor"/>
      </rPr>
      <t xml:space="preserve"> registration:</t>
    </r>
  </si>
  <si>
    <r>
      <t xml:space="preserve">Participant IEEE </t>
    </r>
    <r>
      <rPr>
        <sz val="12"/>
        <color rgb="FFFF0000"/>
        <rFont val="Calibri"/>
        <family val="2"/>
        <scheme val="minor"/>
      </rPr>
      <t>early</t>
    </r>
    <r>
      <rPr>
        <sz val="12"/>
        <color theme="1"/>
        <rFont val="Calibri"/>
        <family val="2"/>
        <scheme val="minor"/>
      </rPr>
      <t xml:space="preserve"> student / IEEE life member:</t>
    </r>
  </si>
  <si>
    <r>
      <t xml:space="preserve">Participant IEEE </t>
    </r>
    <r>
      <rPr>
        <sz val="12"/>
        <color rgb="FFFF0000"/>
        <rFont val="Calibri"/>
        <family val="2"/>
        <scheme val="minor"/>
      </rPr>
      <t>late</t>
    </r>
    <r>
      <rPr>
        <sz val="12"/>
        <color theme="1"/>
        <rFont val="Calibri"/>
        <family val="2"/>
        <scheme val="minor"/>
      </rPr>
      <t xml:space="preserve"> student / IEEE life member:</t>
    </r>
  </si>
  <si>
    <t xml:space="preserve">Quantity </t>
  </si>
  <si>
    <t>Participants with registration paid:</t>
  </si>
  <si>
    <t>Total participants:</t>
  </si>
  <si>
    <t>REGISTRATION</t>
  </si>
  <si>
    <t>Venue, social events and organization expenses:</t>
  </si>
  <si>
    <t>Workshop days</t>
  </si>
  <si>
    <t>Workshop half days</t>
  </si>
  <si>
    <t>Unit value $</t>
  </si>
  <si>
    <t>Unit value €</t>
  </si>
  <si>
    <t>Hotel-Venue Buses/day</t>
  </si>
  <si>
    <t>Euro/Dollar conversion</t>
  </si>
  <si>
    <t>Participants IEEE early registration:</t>
  </si>
  <si>
    <t>Participants IEEE late registration:</t>
  </si>
  <si>
    <t>Participants non-IEEE early registration:</t>
  </si>
  <si>
    <t>Participants non-IEEE late registration:</t>
  </si>
  <si>
    <t>Participant IEEE early student / IEEE life member:</t>
  </si>
  <si>
    <t>Participant IEEE late student / IEEE life member:</t>
  </si>
  <si>
    <t>Registration</t>
  </si>
  <si>
    <t xml:space="preserve">Expected Income </t>
  </si>
  <si>
    <t>Sponsorship  UC3M</t>
  </si>
  <si>
    <t>Sponsorship Sevilla</t>
  </si>
  <si>
    <t>Total registration:</t>
  </si>
  <si>
    <t>IEEE Advanced Loan (ITS)</t>
  </si>
  <si>
    <t>Expenses</t>
  </si>
  <si>
    <t>Plenary Sessions organization</t>
  </si>
  <si>
    <t>Venue rental and IT services</t>
  </si>
  <si>
    <t>Worshop rooms</t>
  </si>
  <si>
    <t>Wifi connection</t>
  </si>
  <si>
    <t>ETSI personel for venue arrangements</t>
  </si>
  <si>
    <t>Welcome pack</t>
  </si>
  <si>
    <t>Hostesses</t>
  </si>
  <si>
    <t>Hostesses/day</t>
  </si>
  <si>
    <t>Printing services</t>
  </si>
  <si>
    <t>Website design / maintenance</t>
  </si>
  <si>
    <t>Worshop posters and leaflets</t>
  </si>
  <si>
    <t>Hotel-Veune buses</t>
  </si>
  <si>
    <t>Venue Services</t>
  </si>
  <si>
    <t>Social events</t>
  </si>
  <si>
    <t>Catering (coffee breaks and lunches)</t>
  </si>
  <si>
    <t>Gala dinner</t>
  </si>
  <si>
    <t>Welcome cocktail</t>
  </si>
  <si>
    <t>Participants Welcome pack (badges, notebook, pen, local information, food tickets...)</t>
  </si>
  <si>
    <t>Organization</t>
  </si>
  <si>
    <t>TOTAL EXPECTED INCOME (ITS loan included)</t>
  </si>
  <si>
    <t>Payment of IEEE Advanced Loan (ITS)</t>
  </si>
  <si>
    <t>Proceedings and review process</t>
  </si>
  <si>
    <t>Plenary speaker Hotel</t>
  </si>
  <si>
    <t>Plenary speaker travel expenses (plane tickets, taxi...)</t>
  </si>
  <si>
    <t>Expected submissions</t>
  </si>
  <si>
    <t>Accepted papers</t>
  </si>
  <si>
    <t>Review paper processing</t>
  </si>
  <si>
    <t>USB master preparation</t>
  </si>
  <si>
    <t>USB printing</t>
  </si>
  <si>
    <t>IEEE Xplore disk preparation</t>
  </si>
  <si>
    <t>Review process (EDAS)</t>
  </si>
  <si>
    <t>USB preparation</t>
  </si>
  <si>
    <t>USB for participants welcome pack</t>
  </si>
  <si>
    <t>TOTAL EXPENSES:</t>
  </si>
  <si>
    <t>PROJECTED SURPLUS:</t>
  </si>
  <si>
    <t>Hotel/night</t>
  </si>
  <si>
    <t>Ticket Sanlucar trip:</t>
  </si>
  <si>
    <t>Sanlucar trip</t>
  </si>
  <si>
    <t>Travel expenses plenary speaker (I)</t>
  </si>
  <si>
    <t>Travel expenses plenary speaker (II)</t>
  </si>
  <si>
    <t>Travel expenses plenary speaker (III)</t>
  </si>
  <si>
    <t>Travel expenses plenary speaker (VI)</t>
  </si>
  <si>
    <t>Plenary speaker sessions</t>
  </si>
  <si>
    <t>Ticket Alcazares:</t>
  </si>
  <si>
    <t>Alcazar visit</t>
  </si>
  <si>
    <t>Alcazar visit:</t>
  </si>
  <si>
    <t>Ticket Alcazares</t>
  </si>
  <si>
    <t>Canon Alcazares visit</t>
  </si>
  <si>
    <t>Administrative services for organization (Isbilya)</t>
  </si>
  <si>
    <t>Worshop secretary (registro)</t>
  </si>
  <si>
    <t>Cofee break/ person</t>
  </si>
  <si>
    <t>Lunch/person</t>
  </si>
  <si>
    <t>Welcome Cocktail/person</t>
  </si>
  <si>
    <t>Gala Dinner/person</t>
  </si>
  <si>
    <t>Workshop room rental</t>
  </si>
  <si>
    <t>Travel expenses plenary speaker opening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</si>
</sst>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#,##0.00\ [$€-C0A]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2"/>
      <color rgb="FF0000FF"/>
      <name val="Calibri"/>
      <scheme val="minor"/>
    </font>
    <font>
      <b/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 applyAlignment="1"/>
    <xf numFmtId="0" fontId="0" fillId="0" borderId="0" xfId="0" applyFont="1" applyAlignment="1"/>
    <xf numFmtId="0" fontId="11" fillId="0" borderId="0" xfId="0" applyFont="1"/>
    <xf numFmtId="165" fontId="0" fillId="0" borderId="0" xfId="0" applyNumberFormat="1" applyProtection="1"/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165" fontId="12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0" fontId="0" fillId="0" borderId="0" xfId="0" applyFont="1" applyAlignment="1">
      <alignment horizontal="right"/>
    </xf>
    <xf numFmtId="165" fontId="0" fillId="0" borderId="0" xfId="0" applyNumberFormat="1" applyAlignment="1"/>
    <xf numFmtId="0" fontId="1" fillId="0" borderId="0" xfId="0" applyFont="1" applyAlignment="1"/>
    <xf numFmtId="0" fontId="0" fillId="0" borderId="0" xfId="0" applyAlignment="1"/>
    <xf numFmtId="165" fontId="11" fillId="0" borderId="0" xfId="0" applyNumberFormat="1" applyFont="1"/>
    <xf numFmtId="165" fontId="0" fillId="0" borderId="0" xfId="0" applyNumberFormat="1" applyFont="1" applyProtection="1"/>
    <xf numFmtId="3" fontId="11" fillId="0" borderId="0" xfId="0" applyNumberFormat="1" applyFont="1" applyProtection="1">
      <protection locked="0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6"/>
  <sheetViews>
    <sheetView topLeftCell="A19" zoomScale="150" zoomScaleNormal="150" zoomScalePageLayoutView="150" workbookViewId="0">
      <selection activeCell="A39" sqref="A39:XFD39"/>
    </sheetView>
  </sheetViews>
  <sheetFormatPr baseColWidth="10" defaultRowHeight="15" x14ac:dyDescent="0"/>
  <cols>
    <col min="1" max="1" width="40.83203125" customWidth="1"/>
    <col min="2" max="2" width="23.33203125" customWidth="1"/>
    <col min="3" max="3" width="21" customWidth="1"/>
    <col min="4" max="4" width="16.6640625" style="9" customWidth="1"/>
  </cols>
  <sheetData>
    <row r="1" spans="1:4">
      <c r="A1" s="1" t="s">
        <v>18</v>
      </c>
      <c r="B1" s="20">
        <v>1.3</v>
      </c>
    </row>
    <row r="2" spans="1:4">
      <c r="A2" s="1" t="s">
        <v>13</v>
      </c>
      <c r="B2" s="20">
        <v>4</v>
      </c>
    </row>
    <row r="3" spans="1:4">
      <c r="A3" s="1" t="s">
        <v>14</v>
      </c>
      <c r="B3" s="20">
        <v>6</v>
      </c>
    </row>
    <row r="4" spans="1:4">
      <c r="A4" s="1" t="s">
        <v>74</v>
      </c>
      <c r="B4" s="20">
        <v>5</v>
      </c>
    </row>
    <row r="5" spans="1:4">
      <c r="A5" s="1" t="s">
        <v>56</v>
      </c>
      <c r="B5" s="20">
        <v>150</v>
      </c>
    </row>
    <row r="6" spans="1:4">
      <c r="A6" s="1" t="s">
        <v>57</v>
      </c>
      <c r="B6" s="20">
        <v>100</v>
      </c>
    </row>
    <row r="7" spans="1:4">
      <c r="A7" s="1"/>
    </row>
    <row r="8" spans="1:4">
      <c r="A8" s="1"/>
    </row>
    <row r="9" spans="1:4">
      <c r="A9" s="1" t="s">
        <v>11</v>
      </c>
    </row>
    <row r="10" spans="1:4">
      <c r="B10" s="2" t="s">
        <v>8</v>
      </c>
      <c r="C10" s="2" t="s">
        <v>15</v>
      </c>
      <c r="D10" s="10" t="s">
        <v>16</v>
      </c>
    </row>
    <row r="11" spans="1:4">
      <c r="A11" t="s">
        <v>2</v>
      </c>
      <c r="B11" s="20">
        <v>80</v>
      </c>
      <c r="C11" s="21">
        <v>650</v>
      </c>
      <c r="D11" s="19">
        <f>C11/B1</f>
        <v>500</v>
      </c>
    </row>
    <row r="12" spans="1:4">
      <c r="A12" t="s">
        <v>3</v>
      </c>
      <c r="B12" s="20">
        <v>20</v>
      </c>
      <c r="C12" s="21">
        <v>780</v>
      </c>
      <c r="D12" s="19">
        <f>C12/B1</f>
        <v>600</v>
      </c>
    </row>
    <row r="13" spans="1:4">
      <c r="A13" t="s">
        <v>4</v>
      </c>
      <c r="B13" s="20">
        <v>0</v>
      </c>
      <c r="C13" s="21">
        <v>780</v>
      </c>
      <c r="D13" s="19">
        <f>C13/B1</f>
        <v>600</v>
      </c>
    </row>
    <row r="14" spans="1:4">
      <c r="A14" t="s">
        <v>5</v>
      </c>
      <c r="B14" s="20">
        <v>0</v>
      </c>
      <c r="C14" s="21">
        <v>910</v>
      </c>
      <c r="D14" s="19">
        <f>C14/B1</f>
        <v>700</v>
      </c>
    </row>
    <row r="15" spans="1:4">
      <c r="A15" t="s">
        <v>6</v>
      </c>
      <c r="B15" s="20">
        <v>45</v>
      </c>
      <c r="C15" s="21">
        <v>390</v>
      </c>
      <c r="D15" s="19">
        <f>C15/B1</f>
        <v>300</v>
      </c>
    </row>
    <row r="16" spans="1:4">
      <c r="A16" t="s">
        <v>7</v>
      </c>
      <c r="B16" s="20">
        <v>5</v>
      </c>
      <c r="C16" s="21">
        <v>520</v>
      </c>
      <c r="D16" s="19">
        <f>C16/B1</f>
        <v>400</v>
      </c>
    </row>
    <row r="17" spans="1:4">
      <c r="A17" t="s">
        <v>9</v>
      </c>
      <c r="B17" s="20">
        <v>4</v>
      </c>
      <c r="C17" s="21">
        <v>0</v>
      </c>
      <c r="D17" s="19">
        <f>C17/B1</f>
        <v>0</v>
      </c>
    </row>
    <row r="18" spans="1:4">
      <c r="A18" t="s">
        <v>68</v>
      </c>
      <c r="B18" s="20">
        <v>60</v>
      </c>
      <c r="C18" s="4">
        <f>D18*B1</f>
        <v>39</v>
      </c>
      <c r="D18" s="22">
        <v>30</v>
      </c>
    </row>
    <row r="19" spans="1:4">
      <c r="A19" t="s">
        <v>75</v>
      </c>
      <c r="B19" s="20">
        <f>SUM(B11:B17)</f>
        <v>154</v>
      </c>
      <c r="C19" s="4">
        <f>D19*B1</f>
        <v>18.2</v>
      </c>
      <c r="D19" s="22">
        <v>14</v>
      </c>
    </row>
    <row r="20" spans="1:4">
      <c r="C20" s="4"/>
    </row>
    <row r="21" spans="1:4">
      <c r="A21" s="2" t="s">
        <v>10</v>
      </c>
      <c r="B21">
        <f>SUM(B11:B17)</f>
        <v>154</v>
      </c>
    </row>
    <row r="23" spans="1:4">
      <c r="A23" s="1" t="s">
        <v>12</v>
      </c>
    </row>
    <row r="25" spans="1:4">
      <c r="A25" t="s">
        <v>84</v>
      </c>
      <c r="B25" s="6">
        <v>1</v>
      </c>
      <c r="C25" s="4">
        <f>D25*B1</f>
        <v>52</v>
      </c>
      <c r="D25" s="22">
        <v>40</v>
      </c>
    </row>
    <row r="26" spans="1:4">
      <c r="A26" t="s">
        <v>82</v>
      </c>
      <c r="B26">
        <f>B3</f>
        <v>6</v>
      </c>
      <c r="C26" s="4">
        <f>D26*B1</f>
        <v>7.15</v>
      </c>
      <c r="D26" s="22">
        <v>5.5</v>
      </c>
    </row>
    <row r="27" spans="1:4">
      <c r="A27" t="s">
        <v>83</v>
      </c>
      <c r="B27" s="20">
        <v>3</v>
      </c>
      <c r="C27" s="4">
        <f>D27*B1</f>
        <v>23.400000000000002</v>
      </c>
      <c r="D27" s="22">
        <v>18</v>
      </c>
    </row>
    <row r="28" spans="1:4">
      <c r="A28" t="s">
        <v>85</v>
      </c>
      <c r="B28" s="6">
        <v>1</v>
      </c>
      <c r="C28" s="4">
        <f>D28*B1</f>
        <v>91</v>
      </c>
      <c r="D28" s="22">
        <v>70</v>
      </c>
    </row>
    <row r="29" spans="1:4">
      <c r="A29" t="s">
        <v>86</v>
      </c>
      <c r="B29" s="20">
        <v>3</v>
      </c>
      <c r="C29" s="4">
        <f>D29*B1</f>
        <v>390</v>
      </c>
      <c r="D29" s="29">
        <v>300</v>
      </c>
    </row>
    <row r="30" spans="1:4">
      <c r="A30" t="s">
        <v>17</v>
      </c>
      <c r="B30" s="20">
        <v>0</v>
      </c>
      <c r="C30" s="4">
        <f>D30*B1</f>
        <v>0</v>
      </c>
      <c r="D30" s="22">
        <v>0</v>
      </c>
    </row>
    <row r="31" spans="1:4">
      <c r="A31" t="s">
        <v>35</v>
      </c>
      <c r="B31" s="6">
        <f>B2</f>
        <v>4</v>
      </c>
      <c r="C31" s="4">
        <f>D31*B1</f>
        <v>0</v>
      </c>
      <c r="D31" s="22">
        <v>0</v>
      </c>
    </row>
    <row r="32" spans="1:4">
      <c r="A32" t="s">
        <v>37</v>
      </c>
      <c r="B32">
        <f>B21</f>
        <v>154</v>
      </c>
      <c r="C32" s="4">
        <f>D32*B1</f>
        <v>39.65</v>
      </c>
      <c r="D32" s="22">
        <f>25+5.5</f>
        <v>30.5</v>
      </c>
    </row>
    <row r="33" spans="1:4">
      <c r="A33" t="s">
        <v>39</v>
      </c>
      <c r="B33" s="18">
        <v>0</v>
      </c>
      <c r="C33" s="4">
        <f>D33*B1</f>
        <v>0</v>
      </c>
      <c r="D33" s="22">
        <v>0</v>
      </c>
    </row>
    <row r="34" spans="1:4">
      <c r="A34" s="13" t="s">
        <v>58</v>
      </c>
      <c r="B34" s="16">
        <f>B5</f>
        <v>150</v>
      </c>
      <c r="C34" s="21">
        <v>6</v>
      </c>
      <c r="D34" s="9">
        <f>C34/B1</f>
        <v>4.615384615384615</v>
      </c>
    </row>
    <row r="35" spans="1:4">
      <c r="A35" s="17" t="s">
        <v>59</v>
      </c>
      <c r="B35" s="17">
        <v>1</v>
      </c>
      <c r="C35" s="21">
        <v>300</v>
      </c>
      <c r="D35" s="9">
        <f>C35/B1</f>
        <v>230.76923076923077</v>
      </c>
    </row>
    <row r="36" spans="1:4">
      <c r="A36" s="17" t="s">
        <v>60</v>
      </c>
      <c r="B36" s="28">
        <f>B21</f>
        <v>154</v>
      </c>
      <c r="C36" s="21">
        <v>10</v>
      </c>
      <c r="D36" s="9">
        <f>C36/B1</f>
        <v>7.6923076923076916</v>
      </c>
    </row>
    <row r="37" spans="1:4">
      <c r="A37" s="17" t="s">
        <v>61</v>
      </c>
      <c r="B37" s="17">
        <v>1</v>
      </c>
      <c r="C37" s="21">
        <v>200</v>
      </c>
      <c r="D37" s="9">
        <f>C37/B1</f>
        <v>153.84615384615384</v>
      </c>
    </row>
    <row r="38" spans="1:4">
      <c r="A38" s="17" t="s">
        <v>67</v>
      </c>
      <c r="B38" s="17">
        <v>1</v>
      </c>
      <c r="C38" s="4">
        <f>D38*B1</f>
        <v>130</v>
      </c>
      <c r="D38" s="22">
        <v>100</v>
      </c>
    </row>
    <row r="39" spans="1:4">
      <c r="A39" s="17" t="s">
        <v>87</v>
      </c>
      <c r="B39" s="17">
        <v>1</v>
      </c>
      <c r="C39" s="4">
        <f>D39*B1</f>
        <v>2600</v>
      </c>
      <c r="D39" s="22">
        <v>2000</v>
      </c>
    </row>
    <row r="40" spans="1:4">
      <c r="A40" s="17" t="s">
        <v>70</v>
      </c>
      <c r="B40" s="25">
        <v>1</v>
      </c>
      <c r="C40" s="4">
        <f>D40*B1</f>
        <v>2600</v>
      </c>
      <c r="D40" s="22">
        <v>2000</v>
      </c>
    </row>
    <row r="41" spans="1:4">
      <c r="A41" s="17" t="s">
        <v>71</v>
      </c>
      <c r="B41" s="25">
        <v>1</v>
      </c>
      <c r="C41" s="4">
        <f>D41*B1</f>
        <v>2600</v>
      </c>
      <c r="D41" s="22">
        <v>2000</v>
      </c>
    </row>
    <row r="42" spans="1:4">
      <c r="A42" s="17" t="s">
        <v>72</v>
      </c>
      <c r="B42" s="25">
        <v>1</v>
      </c>
      <c r="C42" s="4">
        <f>D42*B1</f>
        <v>2600</v>
      </c>
      <c r="D42" s="22">
        <v>2000</v>
      </c>
    </row>
    <row r="43" spans="1:4">
      <c r="A43" s="17" t="s">
        <v>73</v>
      </c>
      <c r="B43" s="25">
        <v>1</v>
      </c>
      <c r="C43" s="4">
        <f>D43*B1</f>
        <v>2600</v>
      </c>
      <c r="D43" s="22">
        <v>2000</v>
      </c>
    </row>
    <row r="44" spans="1:4">
      <c r="A44" s="17" t="s">
        <v>78</v>
      </c>
      <c r="B44" s="25">
        <f>B19</f>
        <v>154</v>
      </c>
      <c r="C44" s="26">
        <f>D44*B1</f>
        <v>18.525000000000002</v>
      </c>
      <c r="D44" s="22">
        <f>8.25+(300)/50</f>
        <v>14.25</v>
      </c>
    </row>
    <row r="45" spans="1:4">
      <c r="A45" s="17" t="s">
        <v>79</v>
      </c>
      <c r="B45" s="31">
        <v>1</v>
      </c>
      <c r="C45" s="26">
        <f>D45*B1</f>
        <v>765.05000000000007</v>
      </c>
      <c r="D45" s="22">
        <v>588.5</v>
      </c>
    </row>
    <row r="46" spans="1:4">
      <c r="A46" s="28" t="s">
        <v>36</v>
      </c>
      <c r="B46" s="25">
        <f>B2</f>
        <v>4</v>
      </c>
      <c r="C46" s="26">
        <f>D46*B1</f>
        <v>390</v>
      </c>
      <c r="D46" s="22">
        <v>300</v>
      </c>
    </row>
    <row r="47" spans="1:4">
      <c r="A47" s="28"/>
      <c r="B47" s="2"/>
      <c r="C47" s="27"/>
    </row>
    <row r="48" spans="1:4">
      <c r="A48" s="28"/>
      <c r="B48" s="2"/>
      <c r="C48" s="27"/>
    </row>
    <row r="49" spans="1:3">
      <c r="A49" s="32"/>
      <c r="B49" s="32"/>
      <c r="C49" s="6"/>
    </row>
    <row r="50" spans="1:3">
      <c r="A50" s="27"/>
      <c r="B50" s="28"/>
      <c r="C50" s="7"/>
    </row>
    <row r="51" spans="1:3">
      <c r="A51" s="27"/>
      <c r="B51" s="28"/>
      <c r="C51" s="7"/>
    </row>
    <row r="52" spans="1:3">
      <c r="A52" s="27"/>
      <c r="B52" s="28"/>
      <c r="C52" s="7"/>
    </row>
    <row r="53" spans="1:3">
      <c r="A53" s="27"/>
      <c r="B53" s="28"/>
      <c r="C53" s="5"/>
    </row>
    <row r="54" spans="1:3">
      <c r="A54" s="27"/>
      <c r="B54" s="2"/>
      <c r="C54" s="5"/>
    </row>
    <row r="55" spans="1:3">
      <c r="A55" s="32"/>
      <c r="B55" s="32"/>
    </row>
    <row r="56" spans="1:3">
      <c r="A56" s="28"/>
      <c r="B56" s="28"/>
      <c r="C56" s="28"/>
    </row>
    <row r="57" spans="1:3">
      <c r="A57" s="28"/>
      <c r="B57" s="28"/>
      <c r="C57" s="4"/>
    </row>
    <row r="58" spans="1:3">
      <c r="A58" s="28"/>
      <c r="B58" s="28"/>
      <c r="C58" s="4"/>
    </row>
    <row r="59" spans="1:3">
      <c r="A59" s="28"/>
      <c r="B59" s="28"/>
      <c r="C59" s="4"/>
    </row>
    <row r="60" spans="1:3">
      <c r="A60" s="28"/>
      <c r="B60" s="2"/>
      <c r="C60" s="1"/>
    </row>
    <row r="61" spans="1:3">
      <c r="A61" s="28"/>
      <c r="B61" s="2"/>
      <c r="C61" s="1"/>
    </row>
    <row r="62" spans="1:3">
      <c r="A62" s="32"/>
      <c r="B62" s="32"/>
      <c r="C62" s="1"/>
    </row>
    <row r="63" spans="1:3">
      <c r="A63" s="27"/>
      <c r="B63" s="27"/>
      <c r="C63" s="1"/>
    </row>
    <row r="64" spans="1:3">
      <c r="A64" s="27"/>
      <c r="B64" s="27"/>
      <c r="C64" s="1"/>
    </row>
    <row r="66" spans="2:3" ht="18">
      <c r="B66" s="3"/>
      <c r="C66" s="1"/>
    </row>
  </sheetData>
  <mergeCells count="3">
    <mergeCell ref="A49:B49"/>
    <mergeCell ref="A55:B55"/>
    <mergeCell ref="A62:B6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50" zoomScaleNormal="150" zoomScalePageLayoutView="150" workbookViewId="0">
      <selection activeCell="D4" sqref="D4"/>
    </sheetView>
  </sheetViews>
  <sheetFormatPr baseColWidth="10" defaultRowHeight="15" x14ac:dyDescent="0"/>
  <cols>
    <col min="1" max="1" width="41.6640625" customWidth="1"/>
    <col min="2" max="2" width="19.1640625" customWidth="1"/>
    <col min="3" max="3" width="16" customWidth="1"/>
    <col min="4" max="4" width="13.6640625" customWidth="1"/>
  </cols>
  <sheetData>
    <row r="1" spans="1:5" ht="20">
      <c r="A1" s="33" t="s">
        <v>26</v>
      </c>
      <c r="B1" s="34"/>
      <c r="C1" s="34"/>
      <c r="D1" s="34"/>
    </row>
    <row r="2" spans="1:5">
      <c r="A2" s="11" t="s">
        <v>25</v>
      </c>
      <c r="B2" s="8"/>
      <c r="C2" s="1"/>
      <c r="D2" s="9"/>
    </row>
    <row r="3" spans="1:5">
      <c r="A3" s="8"/>
      <c r="B3" s="2" t="s">
        <v>8</v>
      </c>
      <c r="C3" s="2" t="s">
        <v>15</v>
      </c>
      <c r="D3" s="10" t="s">
        <v>16</v>
      </c>
      <c r="E3" s="4"/>
    </row>
    <row r="4" spans="1:5">
      <c r="A4" t="s">
        <v>19</v>
      </c>
      <c r="B4">
        <f>'Data Isbilya'!B11</f>
        <v>80</v>
      </c>
      <c r="C4" s="4">
        <f>'Data Isbilya'!C11</f>
        <v>650</v>
      </c>
      <c r="D4" s="9">
        <f>'Data Isbilya'!D11</f>
        <v>500</v>
      </c>
    </row>
    <row r="5" spans="1:5">
      <c r="A5" t="s">
        <v>20</v>
      </c>
      <c r="B5">
        <f>'Data Isbilya'!B12</f>
        <v>20</v>
      </c>
      <c r="C5" s="4">
        <f>'Data Isbilya'!C12</f>
        <v>780</v>
      </c>
      <c r="D5" s="9">
        <f>'Data Isbilya'!D12</f>
        <v>600</v>
      </c>
    </row>
    <row r="6" spans="1:5">
      <c r="A6" t="s">
        <v>21</v>
      </c>
      <c r="B6">
        <f>'Data Isbilya'!B13</f>
        <v>0</v>
      </c>
      <c r="C6" s="4">
        <f>'Data Isbilya'!C13</f>
        <v>780</v>
      </c>
      <c r="D6" s="9">
        <f>'Data Isbilya'!D13</f>
        <v>600</v>
      </c>
    </row>
    <row r="7" spans="1:5">
      <c r="A7" t="s">
        <v>22</v>
      </c>
      <c r="B7">
        <f>'Data Isbilya'!B14</f>
        <v>0</v>
      </c>
      <c r="C7" s="4">
        <f>'Data Isbilya'!C14</f>
        <v>910</v>
      </c>
      <c r="D7" s="9">
        <f>'Data Isbilya'!D14</f>
        <v>700</v>
      </c>
    </row>
    <row r="8" spans="1:5">
      <c r="A8" t="s">
        <v>23</v>
      </c>
      <c r="B8">
        <f>'Data Isbilya'!B15</f>
        <v>45</v>
      </c>
      <c r="C8" s="4">
        <f>'Data Isbilya'!C15</f>
        <v>390</v>
      </c>
      <c r="D8" s="9">
        <f>'Data Isbilya'!D15</f>
        <v>300</v>
      </c>
    </row>
    <row r="9" spans="1:5">
      <c r="A9" t="s">
        <v>24</v>
      </c>
      <c r="B9">
        <f>'Data Isbilya'!B16</f>
        <v>5</v>
      </c>
      <c r="C9" s="4">
        <f>'Data Isbilya'!C16</f>
        <v>520</v>
      </c>
      <c r="D9" s="9">
        <f>'Data Isbilya'!D16</f>
        <v>400</v>
      </c>
    </row>
    <row r="10" spans="1:5">
      <c r="A10" t="s">
        <v>68</v>
      </c>
      <c r="B10">
        <f>'Data Isbilya'!B18</f>
        <v>60</v>
      </c>
      <c r="C10" s="4">
        <f>'Data Isbilya'!C18</f>
        <v>39</v>
      </c>
      <c r="D10" s="30">
        <f>'Data Isbilya'!D18</f>
        <v>30</v>
      </c>
    </row>
    <row r="11" spans="1:5">
      <c r="A11" t="s">
        <v>77</v>
      </c>
      <c r="B11">
        <f>'Data Isbilya'!B19</f>
        <v>154</v>
      </c>
      <c r="C11" s="4">
        <f>'Data Isbilya'!C19</f>
        <v>18.2</v>
      </c>
      <c r="D11" s="30">
        <f>'Data Isbilya'!D19</f>
        <v>14</v>
      </c>
    </row>
    <row r="12" spans="1:5">
      <c r="A12" s="2" t="s">
        <v>29</v>
      </c>
      <c r="C12" s="5">
        <f>B4*C4+B5*C5+B6*C6+B7*C7+B8*C8+B9*C9+C10*B10+C11*B11</f>
        <v>92892.800000000003</v>
      </c>
      <c r="D12" s="12">
        <f>C12/'Data Isbilya'!B1</f>
        <v>71456</v>
      </c>
    </row>
    <row r="13" spans="1:5">
      <c r="A13" s="1"/>
      <c r="C13" s="4"/>
      <c r="D13" s="9"/>
    </row>
    <row r="14" spans="1:5">
      <c r="A14" s="1" t="s">
        <v>27</v>
      </c>
      <c r="B14">
        <v>1</v>
      </c>
      <c r="C14" s="5">
        <f>D14*'Data Isbilya'!B1</f>
        <v>0</v>
      </c>
      <c r="D14" s="23">
        <v>0</v>
      </c>
    </row>
    <row r="15" spans="1:5">
      <c r="A15" s="1"/>
      <c r="C15" s="5"/>
      <c r="D15" s="23"/>
    </row>
    <row r="16" spans="1:5">
      <c r="A16" s="1" t="s">
        <v>28</v>
      </c>
      <c r="B16">
        <v>1</v>
      </c>
      <c r="C16" s="5">
        <f>D16*'Data Isbilya'!B1</f>
        <v>0</v>
      </c>
      <c r="D16" s="23">
        <v>0</v>
      </c>
    </row>
    <row r="18" spans="1:4">
      <c r="A18" s="1" t="s">
        <v>30</v>
      </c>
      <c r="B18">
        <v>1</v>
      </c>
      <c r="C18" s="24">
        <v>0</v>
      </c>
      <c r="D18" s="12">
        <f>C18/'Data Isbilya'!B1</f>
        <v>0</v>
      </c>
    </row>
    <row r="21" spans="1:4">
      <c r="A21" s="2" t="s">
        <v>51</v>
      </c>
      <c r="C21" s="5">
        <f>C12+C14+C16+C18</f>
        <v>92892.800000000003</v>
      </c>
      <c r="D21" s="12">
        <f>C21/'Data Isbilya'!B1</f>
        <v>71456</v>
      </c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tabSelected="1" topLeftCell="A47" zoomScale="150" zoomScaleNormal="150" zoomScalePageLayoutView="150" workbookViewId="0">
      <selection activeCell="C46" sqref="C46"/>
    </sheetView>
  </sheetViews>
  <sheetFormatPr baseColWidth="10" defaultRowHeight="15" x14ac:dyDescent="0"/>
  <cols>
    <col min="1" max="1" width="14.5" customWidth="1"/>
    <col min="2" max="2" width="48.6640625" customWidth="1"/>
    <col min="3" max="3" width="18.33203125" customWidth="1"/>
    <col min="4" max="4" width="13.6640625" customWidth="1"/>
  </cols>
  <sheetData>
    <row r="1" spans="1:4" ht="23">
      <c r="A1" s="35" t="s">
        <v>31</v>
      </c>
      <c r="B1" s="35"/>
      <c r="C1" s="36"/>
    </row>
    <row r="2" spans="1:4">
      <c r="A2" s="37"/>
      <c r="B2" s="37"/>
    </row>
    <row r="3" spans="1:4">
      <c r="A3" s="32" t="s">
        <v>32</v>
      </c>
      <c r="B3" s="32"/>
      <c r="C3" s="9"/>
    </row>
    <row r="4" spans="1:4">
      <c r="A4" s="28"/>
      <c r="B4" s="28" t="s">
        <v>55</v>
      </c>
      <c r="C4" s="9">
        <f>'Data Isbilya'!D40+'Data Isbilya'!D41+'Data Isbilya'!D42+'Data Isbilya'!D43+'Data Isbilya'!D39</f>
        <v>10000</v>
      </c>
      <c r="D4" s="5"/>
    </row>
    <row r="5" spans="1:4">
      <c r="A5" s="28"/>
      <c r="B5" s="28" t="s">
        <v>54</v>
      </c>
      <c r="C5" s="9">
        <f>'Data Isbilya'!B4*'Data Isbilya'!D38*('Data Isbilya'!B2+1)</f>
        <v>2500</v>
      </c>
      <c r="D5" s="5"/>
    </row>
    <row r="6" spans="1:4">
      <c r="B6" s="2" t="s">
        <v>0</v>
      </c>
      <c r="C6" s="12">
        <f>SUM(C4:C5)</f>
        <v>12500</v>
      </c>
      <c r="D6" s="5">
        <f>C6*'Data Isbilya'!B1</f>
        <v>16250</v>
      </c>
    </row>
    <row r="7" spans="1:4">
      <c r="A7" s="28"/>
      <c r="B7" s="2"/>
      <c r="C7" s="9"/>
      <c r="D7" s="5"/>
    </row>
    <row r="8" spans="1:4">
      <c r="A8" s="32" t="s">
        <v>33</v>
      </c>
      <c r="B8" s="32"/>
      <c r="C8" s="9"/>
      <c r="D8" s="5"/>
    </row>
    <row r="9" spans="1:4">
      <c r="A9" s="27"/>
      <c r="B9" s="28" t="s">
        <v>34</v>
      </c>
      <c r="C9" s="9">
        <f>'Data Isbilya'!D29*'Data Isbilya'!B29*'Data Isbilya'!B2</f>
        <v>3600</v>
      </c>
      <c r="D9" s="5"/>
    </row>
    <row r="10" spans="1:4">
      <c r="A10" s="27"/>
      <c r="B10" s="28" t="s">
        <v>36</v>
      </c>
      <c r="C10" s="9">
        <f>'Data Isbilya'!D46*'Data Isbilya'!B46</f>
        <v>1200</v>
      </c>
      <c r="D10" s="5"/>
    </row>
    <row r="11" spans="1:4">
      <c r="A11" s="27"/>
      <c r="B11" s="28" t="s">
        <v>1</v>
      </c>
      <c r="C11" s="9">
        <f>'Data Isbilya'!B31*'Data Isbilya'!D31</f>
        <v>0</v>
      </c>
      <c r="D11" s="5"/>
    </row>
    <row r="12" spans="1:4">
      <c r="A12" s="27"/>
      <c r="B12" s="28" t="s">
        <v>41</v>
      </c>
      <c r="C12" s="22">
        <v>1000</v>
      </c>
      <c r="D12" s="5"/>
    </row>
    <row r="13" spans="1:4">
      <c r="A13" s="27"/>
      <c r="B13" s="28"/>
      <c r="C13" s="9"/>
      <c r="D13" s="5"/>
    </row>
    <row r="14" spans="1:4">
      <c r="A14" s="27"/>
      <c r="B14" s="28"/>
      <c r="C14" s="9"/>
      <c r="D14" s="5"/>
    </row>
    <row r="15" spans="1:4">
      <c r="A15" s="27"/>
      <c r="B15" s="2" t="s">
        <v>0</v>
      </c>
      <c r="C15" s="12">
        <f>SUM(C9:C14)</f>
        <v>5800</v>
      </c>
      <c r="D15" s="5">
        <f>C15*'Data Isbilya'!B1</f>
        <v>7540</v>
      </c>
    </row>
    <row r="16" spans="1:4">
      <c r="A16" s="32" t="s">
        <v>40</v>
      </c>
      <c r="B16" s="32"/>
      <c r="C16" s="9"/>
      <c r="D16" s="5"/>
    </row>
    <row r="17" spans="1:4">
      <c r="A17" s="28"/>
      <c r="B17" s="28" t="s">
        <v>81</v>
      </c>
      <c r="C17" s="22">
        <v>327</v>
      </c>
      <c r="D17" s="5"/>
    </row>
    <row r="18" spans="1:4">
      <c r="A18" s="28"/>
      <c r="B18" s="28" t="s">
        <v>42</v>
      </c>
      <c r="C18" s="22">
        <v>1100</v>
      </c>
      <c r="D18" s="5"/>
    </row>
    <row r="19" spans="1:4" ht="30">
      <c r="A19" s="28"/>
      <c r="B19" s="15" t="s">
        <v>49</v>
      </c>
      <c r="C19" s="9">
        <f>'Data Isbilya'!B21*'Data Isbilya'!D32</f>
        <v>4697</v>
      </c>
      <c r="D19" s="5"/>
    </row>
    <row r="20" spans="1:4">
      <c r="A20" s="28"/>
      <c r="B20" s="2" t="s">
        <v>0</v>
      </c>
      <c r="C20" s="12">
        <f>SUM(C17:C19)</f>
        <v>6124</v>
      </c>
      <c r="D20" s="5">
        <f>C20*'Data Isbilya'!B1</f>
        <v>7961.2</v>
      </c>
    </row>
    <row r="21" spans="1:4">
      <c r="A21" s="32" t="s">
        <v>44</v>
      </c>
      <c r="B21" s="32"/>
      <c r="C21" s="9"/>
      <c r="D21" s="5"/>
    </row>
    <row r="22" spans="1:4">
      <c r="A22" s="28"/>
      <c r="B22" s="28" t="s">
        <v>38</v>
      </c>
      <c r="C22" s="9">
        <f>'Data Isbilya'!B33*'Data Isbilya'!B2*'Data Isbilya'!D33</f>
        <v>0</v>
      </c>
      <c r="D22" s="5"/>
    </row>
    <row r="23" spans="1:4">
      <c r="A23" s="28"/>
      <c r="B23" s="28" t="s">
        <v>46</v>
      </c>
      <c r="C23" s="9">
        <f>'Data Isbilya'!B26*'Data Isbilya'!D26*'Data Isbilya'!B21+'Data Isbilya'!B27*'Data Isbilya'!D27*'Data Isbilya'!B21</f>
        <v>13398</v>
      </c>
      <c r="D23" s="5"/>
    </row>
    <row r="24" spans="1:4">
      <c r="A24" s="28"/>
      <c r="B24" s="28" t="s">
        <v>43</v>
      </c>
      <c r="C24" s="9">
        <f>'Data Isbilya'!D30*'Data Isbilya'!B30*'Data Isbilya'!B2</f>
        <v>0</v>
      </c>
      <c r="D24" s="5"/>
    </row>
    <row r="25" spans="1:4">
      <c r="A25" s="28"/>
      <c r="B25" s="28"/>
      <c r="C25" s="9"/>
      <c r="D25" s="5"/>
    </row>
    <row r="26" spans="1:4">
      <c r="A26" s="28"/>
      <c r="B26" s="2" t="s">
        <v>0</v>
      </c>
      <c r="C26" s="12">
        <f>SUM(C22:C25)</f>
        <v>13398</v>
      </c>
      <c r="D26" s="5">
        <f>C26*'Data Isbilya'!B1</f>
        <v>17417.400000000001</v>
      </c>
    </row>
    <row r="27" spans="1:4">
      <c r="A27" s="28"/>
      <c r="B27" s="2"/>
      <c r="C27" s="9"/>
      <c r="D27" s="5"/>
    </row>
    <row r="28" spans="1:4">
      <c r="A28" s="27" t="s">
        <v>45</v>
      </c>
      <c r="B28" s="2"/>
      <c r="C28" s="9"/>
      <c r="D28" s="5"/>
    </row>
    <row r="29" spans="1:4">
      <c r="A29" s="28"/>
      <c r="B29" s="14" t="s">
        <v>47</v>
      </c>
      <c r="C29" s="9">
        <f>'Data Isbilya'!D28*'Data Isbilya'!B28*'Data Isbilya'!B21</f>
        <v>10780</v>
      </c>
      <c r="D29" s="5"/>
    </row>
    <row r="30" spans="1:4">
      <c r="A30" s="28"/>
      <c r="B30" s="14" t="s">
        <v>48</v>
      </c>
      <c r="C30" s="9">
        <f>'Data Isbilya'!B25*'Data Isbilya'!D25*'Data Isbilya'!B21</f>
        <v>6160</v>
      </c>
      <c r="D30" s="5"/>
    </row>
    <row r="31" spans="1:4">
      <c r="A31" s="28"/>
      <c r="B31" s="14" t="s">
        <v>69</v>
      </c>
      <c r="C31" s="9">
        <f>'Data Isbilya'!D18*'Data Isbilya'!B18</f>
        <v>1800</v>
      </c>
      <c r="D31" s="5"/>
    </row>
    <row r="32" spans="1:4">
      <c r="A32" s="28"/>
      <c r="B32" s="14" t="s">
        <v>76</v>
      </c>
      <c r="C32" s="9">
        <f>'Data Isbilya'!D44*'Data Isbilya'!B44+'Data Isbilya'!D45</f>
        <v>2783</v>
      </c>
      <c r="D32" s="5"/>
    </row>
    <row r="33" spans="1:4">
      <c r="A33" s="28"/>
      <c r="B33" s="2" t="s">
        <v>0</v>
      </c>
      <c r="C33" s="12">
        <f>SUM(C29:C32)</f>
        <v>21523</v>
      </c>
      <c r="D33" s="5">
        <f>C33*'Data Isbilya'!B1</f>
        <v>27979.9</v>
      </c>
    </row>
    <row r="34" spans="1:4">
      <c r="A34" s="28"/>
      <c r="B34" s="2"/>
      <c r="C34" s="9"/>
      <c r="D34" s="5"/>
    </row>
    <row r="35" spans="1:4">
      <c r="A35" s="32" t="s">
        <v>53</v>
      </c>
      <c r="B35" s="32"/>
      <c r="C35" s="9"/>
      <c r="D35" s="5"/>
    </row>
    <row r="36" spans="1:4">
      <c r="A36" s="27"/>
      <c r="B36" s="17" t="s">
        <v>62</v>
      </c>
      <c r="C36" s="9">
        <f>'Data Isbilya'!B34*'Data Isbilya'!D34</f>
        <v>692.30769230769226</v>
      </c>
      <c r="D36" s="5"/>
    </row>
    <row r="37" spans="1:4">
      <c r="A37" s="27"/>
      <c r="B37" s="17" t="s">
        <v>63</v>
      </c>
      <c r="C37" s="9">
        <f>'Data Isbilya'!B35*'Data Isbilya'!D35</f>
        <v>230.76923076923077</v>
      </c>
      <c r="D37" s="5"/>
    </row>
    <row r="38" spans="1:4">
      <c r="A38" s="27"/>
      <c r="B38" s="17" t="s">
        <v>64</v>
      </c>
      <c r="C38" s="9">
        <f>'Data Isbilya'!B36*'Data Isbilya'!D36</f>
        <v>1184.6153846153845</v>
      </c>
      <c r="D38" s="5"/>
    </row>
    <row r="39" spans="1:4">
      <c r="A39" s="27"/>
      <c r="B39" s="17" t="s">
        <v>61</v>
      </c>
      <c r="C39" s="9">
        <f>'Data Isbilya'!B37*'Data Isbilya'!D37</f>
        <v>153.84615384615384</v>
      </c>
      <c r="D39" s="5"/>
    </row>
    <row r="40" spans="1:4">
      <c r="B40" s="2" t="s">
        <v>0</v>
      </c>
      <c r="C40" s="12">
        <f>SUM(C36:C39)</f>
        <v>2261.5384615384614</v>
      </c>
      <c r="D40" s="5">
        <f>C40*'Data Isbilya'!B1</f>
        <v>2940</v>
      </c>
    </row>
    <row r="41" spans="1:4">
      <c r="A41" s="32" t="s">
        <v>50</v>
      </c>
      <c r="B41" s="32"/>
      <c r="C41" s="9"/>
      <c r="D41" s="5"/>
    </row>
    <row r="42" spans="1:4">
      <c r="B42" t="s">
        <v>52</v>
      </c>
      <c r="C42" s="9">
        <f>'Budget-Income'!D18</f>
        <v>0</v>
      </c>
      <c r="D42" s="5"/>
    </row>
    <row r="43" spans="1:4">
      <c r="B43" t="s">
        <v>80</v>
      </c>
      <c r="C43" s="22">
        <f>33*'Data Isbilya'!B21</f>
        <v>5082</v>
      </c>
      <c r="D43" s="5"/>
    </row>
    <row r="44" spans="1:4">
      <c r="B44" s="2" t="s">
        <v>0</v>
      </c>
      <c r="C44" s="12">
        <f>C42+C43</f>
        <v>5082</v>
      </c>
      <c r="D44" s="5">
        <f>C44*'Data Isbilya'!B1</f>
        <v>6606.6</v>
      </c>
    </row>
    <row r="45" spans="1:4">
      <c r="D45" s="5"/>
    </row>
    <row r="46" spans="1:4">
      <c r="B46" s="2" t="s">
        <v>65</v>
      </c>
      <c r="C46" s="12">
        <f>C44+C40+C33+C26+C20+C15+C6</f>
        <v>66688.538461538468</v>
      </c>
      <c r="D46" s="5">
        <f>C46*'Data Isbilya'!B1</f>
        <v>86695.1</v>
      </c>
    </row>
    <row r="47" spans="1:4">
      <c r="D47" s="5"/>
    </row>
    <row r="48" spans="1:4">
      <c r="D48" s="5"/>
    </row>
    <row r="49" spans="2:4">
      <c r="B49" s="2" t="s">
        <v>66</v>
      </c>
      <c r="C49" s="12">
        <f>'Budget-Income'!D21-'Budget-Expenses  Isbilya'!C46</f>
        <v>4767.4615384615317</v>
      </c>
      <c r="D49" s="5">
        <f>C49*'Data Isbilya'!B1</f>
        <v>6197.6999999999916</v>
      </c>
    </row>
  </sheetData>
  <mergeCells count="8">
    <mergeCell ref="A35:B35"/>
    <mergeCell ref="A41:B41"/>
    <mergeCell ref="A1:C1"/>
    <mergeCell ref="A2:B2"/>
    <mergeCell ref="A3:B3"/>
    <mergeCell ref="A8:B8"/>
    <mergeCell ref="A16:B16"/>
    <mergeCell ref="A21:B21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Isbilya</vt:lpstr>
      <vt:lpstr>Budget-Income</vt:lpstr>
      <vt:lpstr>Budget-Expenses  Isbilya</vt:lpstr>
    </vt:vector>
  </TitlesOfParts>
  <Company>Universidad Carlos III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Matilde Sanchez Fernandez</dc:creator>
  <cp:lastModifiedBy>Matilde Sanchez Fernandez</cp:lastModifiedBy>
  <dcterms:created xsi:type="dcterms:W3CDTF">2012-09-19T08:13:36Z</dcterms:created>
  <dcterms:modified xsi:type="dcterms:W3CDTF">2013-02-06T16:40:01Z</dcterms:modified>
</cp:coreProperties>
</file>